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<sst xmlns="http://schemas.openxmlformats.org/spreadsheetml/2006/main" count="762" uniqueCount="195">
  <si>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</si>
  <si>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</si>
  <si>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</si>
  <si>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</si>
  <si>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</si>
  <si>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</si>
  <si>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</si>
  <si>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</si>
  <si>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</si>
  <si>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</si>
  <si>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</si>
  <si>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</si>
  <si>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</si>
  <si>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</si>
  <si>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</si>
  <si>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</si>
  <si>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</si>
  <si>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</si>
  <si>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</si>
  <si>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</si>
  <si>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</si>
  <si>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</si>
  <si>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</si>
  <si>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</si>
  <si>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</si>
  <si>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</si>
  <si>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</si>
  <si>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</si>
  <si>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</si>
  <si>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</si>
  <si>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</si>
  <si>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</si>
  <si>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</si>
  <si>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</si>
  <si>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</si>
  <si>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</si>
  <si>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</si>
  <si>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</si>
  <si>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</si>
  <si>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</si>
  <si>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</si>
  <si>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</si>
  <si>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</si>
  <si>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</si>
  <si>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</si>
  <si>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</si>
  <si>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</si>
  <si>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</si>
  <si>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</si>
  <si>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</si>
  <si>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</si>
  <si>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</si>
  <si>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</si>
  <si>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</si>
  <si>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</si>
  <si>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</si>
  <si>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</si>
  <si>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</si>
  <si>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</si>
  <si>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</si>
  <si>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</si>
  <si>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</si>
  <si>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</si>
  <si>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</si>
  <si>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</si>
  <si>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</si>
  <si>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</si>
  <si>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</si>
  <si>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</si>
  <si>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</si>
  <si>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</si>
  <si>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</si>
  <si>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</si>
  <si>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</si>
  <si>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</si>
  <si>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</si>
  <si>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</si>
  <si>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</si>
  <si>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</si>
  <si>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</si>
  <si>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</si>
  <si>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</si>
  <si>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</si>
  <si>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</si>
  <si>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</si>
  <si>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</si>
  <si>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</si>
  <si>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</si>
  <si>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</si>
  <si>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</si>
  <si>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</si>
  <si>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</si>
  <si>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</si>
  <si>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</si>
  <si>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</si>
  <si>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</si>
  <si>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</si>
  <si>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</si>
  <si>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</si>
  <si>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</si>
  <si>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</si>
  <si>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</si>
  <si>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</si>
  <si>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</si>
  <si>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</si>
  <si>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</si>
  <si>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</si>
  <si>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</si>
  <si>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</si>
  <si>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</si>
  <si>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</si>
  <si>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</si>
  <si>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</si>
  <si>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</si>
  <si>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</si>
  <si>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</si>
  <si>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</si>
  <si>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</si>
  <si>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</si>
  <si>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</si>
  <si>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</si>
  <si>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</si>
  <si>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</si>
  <si>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</si>
  <si>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</si>
  <si>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</si>
  <si>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</si>
  <si>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</si>
  <si>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</si>
  <si>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</si>
  <si>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</si>
  <si>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</si>
  <si>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</si>
  <si>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</si>
  <si>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</si>
  <si>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</si>
  <si>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</si>
  <si>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</si>
  <si>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</si>
  <si>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</si>
  <si>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</si>
  <si>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</si>
  <si>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</si>
  <si>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</si>
  <si>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</si>
  <si>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</si>
  <si>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</si>
  <si>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</si>
  <si>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</si>
  <si>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</si>
  <si>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</si>
  <si>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</si>
  <si>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</si>
  <si>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</si>
  <si>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</si>
  <si>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</si>
  <si>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</si>
  <si>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</si>
  <si>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</si>
  <si>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</si>
  <si>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</si>
  <si>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</si>
  <si>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</si>
  <si>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</si>
  <si>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</si>
  <si>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</si>
  <si>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</si>
  <si>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</si>
  <si>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</si>
  <si>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</si>
  <si>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</si>
  <si>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</si>
  <si>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</si>
  <si>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</si>
  <si>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</si>
  <si>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</si>
  <si>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</si>
  <si>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</si>
  <si>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</si>
  <si>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</si>
  <si>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</si>
  <si>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</si>
  <si>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</si>
  <si>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</si>
  <si>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</si>
  <si>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</si>
  <si>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</si>
  <si>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</si>
  <si>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</si>
  <si>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</si>
  <si>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</si>
  <si>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</si>
  <si>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</si>
  <si>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</si>
  <si>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22.05.17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</si>
</sst>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188</v>
      </c>
      <c r="O3" s="324" t="s">
        <v>189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185</v>
      </c>
      <c r="F4" s="307" t="s">
        <v>33</v>
      </c>
      <c r="G4" s="297" t="s">
        <v>186</v>
      </c>
      <c r="H4" s="309" t="s">
        <v>187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194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191</v>
      </c>
      <c r="L5" s="301"/>
      <c r="M5" s="302"/>
      <c r="N5" s="310"/>
      <c r="O5" s="312"/>
      <c r="P5" s="298"/>
      <c r="Q5" s="299"/>
      <c r="R5" s="303" t="s">
        <v>190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F9+F15+F18+F19+F23+F40+F17</f>
        <v>467685.33</v>
      </c>
      <c r="G8" s="149">
        <f aca="true" t="shared" si="0" ref="G8:G40">F8-E8</f>
        <v>-37018.26999999996</v>
      </c>
      <c r="H8" s="150">
        <f>F8/E8*100</f>
        <v>92.66534457055587</v>
      </c>
      <c r="I8" s="151">
        <f>F8-D8</f>
        <v>-830765.77</v>
      </c>
      <c r="J8" s="151">
        <f>F8/D8*100</f>
        <v>36.018709522445626</v>
      </c>
      <c r="K8" s="149">
        <v>374994.96</v>
      </c>
      <c r="L8" s="149">
        <f aca="true" t="shared" si="1" ref="L8:L54">F8-K8</f>
        <v>92690.37</v>
      </c>
      <c r="M8" s="203">
        <f aca="true" t="shared" si="2" ref="M8:M31">F8/K8</f>
        <v>1.2471776420675094</v>
      </c>
      <c r="N8" s="149">
        <f>N9+N15+N18+N19+N23+N17</f>
        <v>106726.09999999998</v>
      </c>
      <c r="O8" s="149">
        <f>O9+O15+O18+O19+O23+O17</f>
        <v>67373.07400000004</v>
      </c>
      <c r="P8" s="149">
        <f>O8-N8</f>
        <v>-39353.02599999994</v>
      </c>
      <c r="Q8" s="149">
        <f>O8/N8*100</f>
        <v>63.12708325329985</v>
      </c>
      <c r="R8" s="15">
        <f>R9+R15+R18+R19+R23</f>
        <v>104639</v>
      </c>
      <c r="S8" s="15">
        <f>O8-R8</f>
        <v>-37265.92599999996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260610.2</v>
      </c>
      <c r="G9" s="148">
        <f t="shared" si="0"/>
        <v>-18229.79999999999</v>
      </c>
      <c r="H9" s="155">
        <f>F9/E9*100</f>
        <v>93.46227227083632</v>
      </c>
      <c r="I9" s="156">
        <f>F9-D9</f>
        <v>-506034.8</v>
      </c>
      <c r="J9" s="156">
        <f>F9/D9*100</f>
        <v>33.99359547117636</v>
      </c>
      <c r="K9" s="225">
        <v>199100.92</v>
      </c>
      <c r="L9" s="157">
        <f t="shared" si="1"/>
        <v>61509.28</v>
      </c>
      <c r="M9" s="204">
        <f t="shared" si="2"/>
        <v>1.308935187240722</v>
      </c>
      <c r="N9" s="155">
        <f>E9-квітень!E9</f>
        <v>57980</v>
      </c>
      <c r="O9" s="158">
        <f>F9-квітень!F9</f>
        <v>37514.098</v>
      </c>
      <c r="P9" s="159">
        <f>O9-N9</f>
        <v>-20465.902000000002</v>
      </c>
      <c r="Q9" s="156">
        <f>O9/N9*100</f>
        <v>64.70179027250775</v>
      </c>
      <c r="R9" s="99">
        <v>57980</v>
      </c>
      <c r="S9" s="99">
        <f>O9-R9</f>
        <v>-20465.902000000002</v>
      </c>
      <c r="T9" s="99">
        <f>березень!F9+квітень!R9</f>
        <v>223567.36</v>
      </c>
      <c r="U9" s="99">
        <f>F9-T9</f>
        <v>37042.840000000026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238860.83</v>
      </c>
      <c r="G10" s="102">
        <f t="shared" si="0"/>
        <v>-14299.170000000013</v>
      </c>
      <c r="H10" s="29">
        <f aca="true" t="shared" si="3" ref="H10:H39">F10/E10*100</f>
        <v>94.35172618107124</v>
      </c>
      <c r="I10" s="103">
        <f aca="true" t="shared" si="4" ref="I10:I40">F10-D10</f>
        <v>-462456.17000000004</v>
      </c>
      <c r="J10" s="103">
        <f aca="true" t="shared" si="5" ref="J10:J39">F10/D10*100</f>
        <v>34.05889633361233</v>
      </c>
      <c r="K10" s="105">
        <v>174168.33</v>
      </c>
      <c r="L10" s="105">
        <f t="shared" si="1"/>
        <v>64692.5</v>
      </c>
      <c r="M10" s="205">
        <f t="shared" si="2"/>
        <v>1.3714366440787484</v>
      </c>
      <c r="N10" s="104">
        <f>E10-квітень!E10</f>
        <v>53024</v>
      </c>
      <c r="O10" s="142">
        <f>F10-квітень!F10</f>
        <v>34494.97</v>
      </c>
      <c r="P10" s="105">
        <f aca="true" t="shared" si="6" ref="P10:P40">O10-N10</f>
        <v>-18529.03</v>
      </c>
      <c r="Q10" s="103">
        <f aca="true" t="shared" si="7" ref="Q10:Q27">O10/N10*100</f>
        <v>65.05539001207</v>
      </c>
      <c r="R10" s="36"/>
      <c r="S10" s="99">
        <f aca="true" t="shared" si="8" ref="S10:S35">O10-R10</f>
        <v>34494.97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14061.5</v>
      </c>
      <c r="G11" s="102">
        <f t="shared" si="0"/>
        <v>-4298.5</v>
      </c>
      <c r="H11" s="29">
        <f t="shared" si="3"/>
        <v>76.58769063180829</v>
      </c>
      <c r="I11" s="103">
        <f t="shared" si="4"/>
        <v>-32444.5</v>
      </c>
      <c r="J11" s="103">
        <f t="shared" si="5"/>
        <v>30.23588354190857</v>
      </c>
      <c r="K11" s="105">
        <v>14679.25</v>
      </c>
      <c r="L11" s="105">
        <f t="shared" si="1"/>
        <v>-617.75</v>
      </c>
      <c r="M11" s="205">
        <f t="shared" si="2"/>
        <v>0.9579167873018035</v>
      </c>
      <c r="N11" s="104">
        <f>E11-квітень!E11</f>
        <v>3660</v>
      </c>
      <c r="O11" s="142">
        <f>F11-квітень!F11</f>
        <v>1632.3500000000004</v>
      </c>
      <c r="P11" s="105">
        <f t="shared" si="6"/>
        <v>-2027.6499999999996</v>
      </c>
      <c r="Q11" s="103">
        <f t="shared" si="7"/>
        <v>44.59972677595629</v>
      </c>
      <c r="R11" s="36"/>
      <c r="S11" s="99">
        <f t="shared" si="8"/>
        <v>1632.3500000000004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3386.19</v>
      </c>
      <c r="G12" s="102">
        <f t="shared" si="0"/>
        <v>446.19000000000005</v>
      </c>
      <c r="H12" s="29">
        <f t="shared" si="3"/>
        <v>115.1765306122449</v>
      </c>
      <c r="I12" s="103">
        <f t="shared" si="4"/>
        <v>-4893.8099999999995</v>
      </c>
      <c r="J12" s="103">
        <f t="shared" si="5"/>
        <v>40.89601449275362</v>
      </c>
      <c r="K12" s="105">
        <v>4583.23</v>
      </c>
      <c r="L12" s="105">
        <f t="shared" si="1"/>
        <v>-1197.0399999999995</v>
      </c>
      <c r="M12" s="205">
        <f t="shared" si="2"/>
        <v>0.7388217479812274</v>
      </c>
      <c r="N12" s="104">
        <f>E12-квітень!E12</f>
        <v>600</v>
      </c>
      <c r="O12" s="142">
        <f>F12-квітень!F12</f>
        <v>776.5999999999999</v>
      </c>
      <c r="P12" s="105">
        <f t="shared" si="6"/>
        <v>176.5999999999999</v>
      </c>
      <c r="Q12" s="103">
        <f t="shared" si="7"/>
        <v>129.4333333333333</v>
      </c>
      <c r="R12" s="36"/>
      <c r="S12" s="99">
        <f t="shared" si="8"/>
        <v>776.5999999999999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3694.03</v>
      </c>
      <c r="G13" s="102">
        <f t="shared" si="0"/>
        <v>-205.9699999999998</v>
      </c>
      <c r="H13" s="29">
        <f t="shared" si="3"/>
        <v>94.71871794871795</v>
      </c>
      <c r="I13" s="103">
        <f t="shared" si="4"/>
        <v>-5695.969999999999</v>
      </c>
      <c r="J13" s="103">
        <f t="shared" si="5"/>
        <v>39.34004259850906</v>
      </c>
      <c r="K13" s="105">
        <v>3763.44</v>
      </c>
      <c r="L13" s="105">
        <f t="shared" si="1"/>
        <v>-69.40999999999985</v>
      </c>
      <c r="M13" s="205">
        <f t="shared" si="2"/>
        <v>0.9815567672129754</v>
      </c>
      <c r="N13" s="104">
        <f>E13-квітень!E13</f>
        <v>600</v>
      </c>
      <c r="O13" s="142">
        <f>F13-квітень!F13</f>
        <v>484.7000000000003</v>
      </c>
      <c r="P13" s="105">
        <f t="shared" si="6"/>
        <v>-115.29999999999973</v>
      </c>
      <c r="Q13" s="103">
        <f t="shared" si="7"/>
        <v>80.78333333333337</v>
      </c>
      <c r="R13" s="36"/>
      <c r="S13" s="99">
        <f t="shared" si="8"/>
        <v>484.7000000000003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 t="e">
        <f>F17/E17/100</f>
        <v>#DIV/0!</v>
      </c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 t="e">
        <f t="shared" si="7"/>
        <v>#DIV/0!</v>
      </c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39744.05</v>
      </c>
      <c r="G19" s="160">
        <f t="shared" si="0"/>
        <v>-8655.949999999997</v>
      </c>
      <c r="H19" s="162">
        <f t="shared" si="3"/>
        <v>82.11580578512397</v>
      </c>
      <c r="I19" s="163">
        <f t="shared" si="4"/>
        <v>-90255.95</v>
      </c>
      <c r="J19" s="163">
        <f t="shared" si="5"/>
        <v>30.57234615384616</v>
      </c>
      <c r="K19" s="159">
        <v>35230.56</v>
      </c>
      <c r="L19" s="165">
        <f t="shared" si="1"/>
        <v>4513.490000000005</v>
      </c>
      <c r="M19" s="211">
        <f t="shared" si="2"/>
        <v>1.128112922417356</v>
      </c>
      <c r="N19" s="162">
        <f>E19-квітень!E19</f>
        <v>10500</v>
      </c>
      <c r="O19" s="166">
        <f>F19-квітень!F19</f>
        <v>3639.286</v>
      </c>
      <c r="P19" s="165">
        <f t="shared" si="6"/>
        <v>-6860.714</v>
      </c>
      <c r="Q19" s="163">
        <f t="shared" si="7"/>
        <v>34.659866666666666</v>
      </c>
      <c r="R19" s="36">
        <v>9450</v>
      </c>
      <c r="S19" s="99">
        <f t="shared" si="8"/>
        <v>-5810.714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22924.74</v>
      </c>
      <c r="G20" s="250">
        <f t="shared" si="0"/>
        <v>-6725.259999999998</v>
      </c>
      <c r="H20" s="193">
        <f t="shared" si="3"/>
        <v>77.31784148397976</v>
      </c>
      <c r="I20" s="251">
        <f t="shared" si="4"/>
        <v>-53575.259999999995</v>
      </c>
      <c r="J20" s="251">
        <f t="shared" si="5"/>
        <v>29.966980392156866</v>
      </c>
      <c r="K20" s="252">
        <v>35230.56</v>
      </c>
      <c r="L20" s="164">
        <f t="shared" si="1"/>
        <v>-12305.819999999996</v>
      </c>
      <c r="M20" s="253">
        <f t="shared" si="2"/>
        <v>0.6507060915296267</v>
      </c>
      <c r="N20" s="193">
        <f>E20-квітень!E20</f>
        <v>5750</v>
      </c>
      <c r="O20" s="177">
        <f>F20-квітень!F20</f>
        <v>945.1599999999999</v>
      </c>
      <c r="P20" s="164">
        <f t="shared" si="6"/>
        <v>-4804.84</v>
      </c>
      <c r="Q20" s="251">
        <f t="shared" si="7"/>
        <v>16.4375652173913</v>
      </c>
      <c r="R20" s="106">
        <v>4450</v>
      </c>
      <c r="S20" s="99">
        <f t="shared" si="8"/>
        <v>-3504.84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3311.28</v>
      </c>
      <c r="G21" s="250">
        <f t="shared" si="0"/>
        <v>-638.7199999999998</v>
      </c>
      <c r="H21" s="193"/>
      <c r="I21" s="251">
        <f t="shared" si="4"/>
        <v>-7388.719999999999</v>
      </c>
      <c r="J21" s="251">
        <f t="shared" si="5"/>
        <v>30.946542056074765</v>
      </c>
      <c r="K21" s="252">
        <v>0</v>
      </c>
      <c r="L21" s="164">
        <f t="shared" si="1"/>
        <v>3311.28</v>
      </c>
      <c r="M21" s="253"/>
      <c r="N21" s="193">
        <f>E21-квітень!E21</f>
        <v>950</v>
      </c>
      <c r="O21" s="177">
        <f>F21-квітень!F21</f>
        <v>192.34000000000015</v>
      </c>
      <c r="P21" s="164">
        <f t="shared" si="6"/>
        <v>-757.6599999999999</v>
      </c>
      <c r="Q21" s="251"/>
      <c r="R21" s="106">
        <v>1000</v>
      </c>
      <c r="S21" s="99">
        <f t="shared" si="8"/>
        <v>-807.6599999999999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13508.03</v>
      </c>
      <c r="G22" s="250">
        <f t="shared" si="0"/>
        <v>-1291.9699999999993</v>
      </c>
      <c r="H22" s="193"/>
      <c r="I22" s="251">
        <f t="shared" si="4"/>
        <v>-29291.97</v>
      </c>
      <c r="J22" s="251">
        <f t="shared" si="5"/>
        <v>31.560817757009346</v>
      </c>
      <c r="K22" s="252">
        <v>0</v>
      </c>
      <c r="L22" s="164">
        <f t="shared" si="1"/>
        <v>13508.03</v>
      </c>
      <c r="M22" s="253"/>
      <c r="N22" s="193">
        <f>E22-квітень!E22</f>
        <v>3800</v>
      </c>
      <c r="O22" s="177">
        <f>F22-квітень!F22</f>
        <v>2501.790000000001</v>
      </c>
      <c r="P22" s="164">
        <f t="shared" si="6"/>
        <v>-1298.2099999999991</v>
      </c>
      <c r="Q22" s="251"/>
      <c r="R22" s="106">
        <v>4000</v>
      </c>
      <c r="S22" s="99">
        <f t="shared" si="8"/>
        <v>-1498.2099999999991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167167.57</v>
      </c>
      <c r="G23" s="148">
        <f t="shared" si="0"/>
        <v>-9885.02999999997</v>
      </c>
      <c r="H23" s="155">
        <f t="shared" si="3"/>
        <v>94.41689644772234</v>
      </c>
      <c r="I23" s="156">
        <f t="shared" si="4"/>
        <v>-233962.52999999997</v>
      </c>
      <c r="J23" s="156">
        <f t="shared" si="5"/>
        <v>41.67415260036582</v>
      </c>
      <c r="K23" s="156">
        <v>140248.27</v>
      </c>
      <c r="L23" s="159">
        <f t="shared" si="1"/>
        <v>26919.300000000017</v>
      </c>
      <c r="M23" s="207">
        <f t="shared" si="2"/>
        <v>1.1919403355207163</v>
      </c>
      <c r="N23" s="155">
        <f>E23-квітень!E23</f>
        <v>38076.09999999998</v>
      </c>
      <c r="O23" s="158">
        <f>F23-квітень!F23</f>
        <v>25858.280000000028</v>
      </c>
      <c r="P23" s="159">
        <f t="shared" si="6"/>
        <v>-12217.819999999949</v>
      </c>
      <c r="Q23" s="156">
        <f t="shared" si="7"/>
        <v>67.91210234241439</v>
      </c>
      <c r="R23" s="280">
        <f>R24+R32+R33+R34+R35</f>
        <v>37059</v>
      </c>
      <c r="S23" s="99">
        <f t="shared" si="8"/>
        <v>-11200.719999999972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71756.06</v>
      </c>
      <c r="G24" s="148">
        <f t="shared" si="0"/>
        <v>-10951.839999999997</v>
      </c>
      <c r="H24" s="155">
        <f t="shared" si="3"/>
        <v>86.758411227948</v>
      </c>
      <c r="I24" s="156">
        <f t="shared" si="4"/>
        <v>-134864.94</v>
      </c>
      <c r="J24" s="156">
        <f t="shared" si="5"/>
        <v>34.728348038195534</v>
      </c>
      <c r="K24" s="156">
        <v>71540.14</v>
      </c>
      <c r="L24" s="159">
        <f t="shared" si="1"/>
        <v>215.91999999999825</v>
      </c>
      <c r="M24" s="207">
        <f t="shared" si="2"/>
        <v>1.0030181657458317</v>
      </c>
      <c r="N24" s="155">
        <f>E24-квітень!E24</f>
        <v>15364.099999999991</v>
      </c>
      <c r="O24" s="158">
        <f>F24-квітень!F24</f>
        <v>4079.0699999999924</v>
      </c>
      <c r="P24" s="159">
        <f t="shared" si="6"/>
        <v>-11285.029999999999</v>
      </c>
      <c r="Q24" s="156">
        <f t="shared" si="7"/>
        <v>26.549358569652597</v>
      </c>
      <c r="R24" s="106">
        <f>R25+R28+R29</f>
        <v>14352</v>
      </c>
      <c r="S24" s="99">
        <f t="shared" si="8"/>
        <v>-10272.930000000008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9931.94</v>
      </c>
      <c r="G25" s="169">
        <f t="shared" si="0"/>
        <v>347.84000000000015</v>
      </c>
      <c r="H25" s="171">
        <f t="shared" si="3"/>
        <v>103.6293444350539</v>
      </c>
      <c r="I25" s="172">
        <f t="shared" si="4"/>
        <v>-12877.06</v>
      </c>
      <c r="J25" s="172">
        <f t="shared" si="5"/>
        <v>43.54395194879215</v>
      </c>
      <c r="K25" s="173">
        <v>8640.15</v>
      </c>
      <c r="L25" s="164">
        <f t="shared" si="1"/>
        <v>1291.7900000000009</v>
      </c>
      <c r="M25" s="213">
        <f t="shared" si="2"/>
        <v>1.1495101358194013</v>
      </c>
      <c r="N25" s="155">
        <f>E25-квітень!E25</f>
        <v>254.10000000000036</v>
      </c>
      <c r="O25" s="158">
        <f>F25-квітень!F25</f>
        <v>185.63000000000102</v>
      </c>
      <c r="P25" s="175">
        <f t="shared" si="6"/>
        <v>-68.46999999999935</v>
      </c>
      <c r="Q25" s="172">
        <f t="shared" si="7"/>
        <v>73.0539157811888</v>
      </c>
      <c r="R25" s="106">
        <v>347</v>
      </c>
      <c r="S25" s="99">
        <f t="shared" si="8"/>
        <v>-161.36999999999898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204.07</v>
      </c>
      <c r="G26" s="196">
        <f t="shared" si="0"/>
        <v>-400.93</v>
      </c>
      <c r="H26" s="197">
        <f t="shared" si="3"/>
        <v>33.73057851239669</v>
      </c>
      <c r="I26" s="198">
        <f t="shared" si="4"/>
        <v>-1618.23</v>
      </c>
      <c r="J26" s="198">
        <f t="shared" si="5"/>
        <v>11.198485430499918</v>
      </c>
      <c r="K26" s="198">
        <v>263.65</v>
      </c>
      <c r="L26" s="198">
        <f t="shared" si="1"/>
        <v>-59.579999999999984</v>
      </c>
      <c r="M26" s="226">
        <f t="shared" si="2"/>
        <v>0.7740185852455908</v>
      </c>
      <c r="N26" s="234">
        <f>E26-квітень!E26</f>
        <v>55</v>
      </c>
      <c r="O26" s="234">
        <f>F26-квітень!F26</f>
        <v>3.829999999999984</v>
      </c>
      <c r="P26" s="198">
        <f t="shared" si="6"/>
        <v>-51.170000000000016</v>
      </c>
      <c r="Q26" s="198">
        <f t="shared" si="7"/>
        <v>6.9636363636363345</v>
      </c>
      <c r="R26" s="106"/>
      <c r="S26" s="99">
        <f t="shared" si="8"/>
        <v>3.829999999999984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9727.87</v>
      </c>
      <c r="G27" s="196">
        <f t="shared" si="0"/>
        <v>748.7700000000004</v>
      </c>
      <c r="H27" s="197">
        <f t="shared" si="3"/>
        <v>108.33903175151185</v>
      </c>
      <c r="I27" s="198">
        <f t="shared" si="4"/>
        <v>-11258.83</v>
      </c>
      <c r="J27" s="198">
        <f t="shared" si="5"/>
        <v>46.35254708934706</v>
      </c>
      <c r="K27" s="198">
        <v>8376.5</v>
      </c>
      <c r="L27" s="198">
        <f t="shared" si="1"/>
        <v>1351.3700000000008</v>
      </c>
      <c r="M27" s="226">
        <f t="shared" si="2"/>
        <v>1.1613287172446727</v>
      </c>
      <c r="N27" s="234">
        <f>E27-квітень!E27</f>
        <v>199.10000000000036</v>
      </c>
      <c r="O27" s="234">
        <f>F27-квітень!F27</f>
        <v>181.8000000000011</v>
      </c>
      <c r="P27" s="198">
        <f t="shared" si="6"/>
        <v>-17.299999999999272</v>
      </c>
      <c r="Q27" s="198">
        <f t="shared" si="7"/>
        <v>91.31089904570607</v>
      </c>
      <c r="R27" s="106"/>
      <c r="S27" s="99">
        <f t="shared" si="8"/>
        <v>181.8000000000011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4.52</v>
      </c>
      <c r="G28" s="169">
        <f t="shared" si="0"/>
        <v>-124.28000000000002</v>
      </c>
      <c r="H28" s="171">
        <f t="shared" si="3"/>
        <v>3.509316770186335</v>
      </c>
      <c r="I28" s="172">
        <f t="shared" si="4"/>
        <v>-815.48</v>
      </c>
      <c r="J28" s="172">
        <f t="shared" si="5"/>
        <v>0.5512195121951219</v>
      </c>
      <c r="K28" s="172">
        <v>420.08</v>
      </c>
      <c r="L28" s="172">
        <f t="shared" si="1"/>
        <v>-415.56</v>
      </c>
      <c r="M28" s="210">
        <f t="shared" si="2"/>
        <v>0.010759855265663682</v>
      </c>
      <c r="N28" s="193">
        <f>E28-квітень!E28</f>
        <v>5.000000000000014</v>
      </c>
      <c r="O28" s="177">
        <f>F28-квітень!F28</f>
        <v>-100</v>
      </c>
      <c r="P28" s="175">
        <f t="shared" si="6"/>
        <v>-105.00000000000001</v>
      </c>
      <c r="Q28" s="172">
        <f>O28/N28*100</f>
        <v>-1999.9999999999943</v>
      </c>
      <c r="R28" s="106">
        <v>5</v>
      </c>
      <c r="S28" s="99">
        <f t="shared" si="8"/>
        <v>-105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61819.6</v>
      </c>
      <c r="G29" s="169">
        <f t="shared" si="0"/>
        <v>-11175.400000000001</v>
      </c>
      <c r="H29" s="171">
        <f t="shared" si="3"/>
        <v>84.69018425919583</v>
      </c>
      <c r="I29" s="172">
        <f t="shared" si="4"/>
        <v>-121172.4</v>
      </c>
      <c r="J29" s="172">
        <f t="shared" si="5"/>
        <v>33.78267902421964</v>
      </c>
      <c r="K29" s="173">
        <v>62479.91</v>
      </c>
      <c r="L29" s="173">
        <f t="shared" si="1"/>
        <v>-660.310000000005</v>
      </c>
      <c r="M29" s="209">
        <f t="shared" si="2"/>
        <v>0.989431642907296</v>
      </c>
      <c r="N29" s="193">
        <f>E29-квітень!E29</f>
        <v>15105</v>
      </c>
      <c r="O29" s="177">
        <f>F29-квітень!F29</f>
        <v>3993.439999999995</v>
      </c>
      <c r="P29" s="175">
        <f t="shared" si="6"/>
        <v>-11111.560000000005</v>
      </c>
      <c r="Q29" s="172">
        <f>O29/N29*100</f>
        <v>26.43786825554449</v>
      </c>
      <c r="R29" s="106">
        <v>14000</v>
      </c>
      <c r="S29" s="99">
        <f t="shared" si="8"/>
        <v>-10006.560000000005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20301.49</v>
      </c>
      <c r="G30" s="196">
        <f t="shared" si="0"/>
        <v>-1778.5099999999984</v>
      </c>
      <c r="H30" s="197">
        <f t="shared" si="3"/>
        <v>91.94515398550726</v>
      </c>
      <c r="I30" s="198">
        <f t="shared" si="4"/>
        <v>-37231.509999999995</v>
      </c>
      <c r="J30" s="198">
        <f t="shared" si="5"/>
        <v>35.28668764013697</v>
      </c>
      <c r="K30" s="198">
        <v>19348.56</v>
      </c>
      <c r="L30" s="198">
        <f t="shared" si="1"/>
        <v>952.9300000000003</v>
      </c>
      <c r="M30" s="226">
        <f t="shared" si="2"/>
        <v>1.049250693591668</v>
      </c>
      <c r="N30" s="234">
        <f>E30-квітень!E30</f>
        <v>4650</v>
      </c>
      <c r="O30" s="234">
        <f>F30-квітень!F30</f>
        <v>996.9600000000028</v>
      </c>
      <c r="P30" s="198">
        <f t="shared" si="6"/>
        <v>-3653.0399999999972</v>
      </c>
      <c r="Q30" s="198">
        <f>O30/N30*100</f>
        <v>21.440000000000058</v>
      </c>
      <c r="R30" s="106"/>
      <c r="S30" s="99">
        <f t="shared" si="8"/>
        <v>996.9600000000028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41518.12</v>
      </c>
      <c r="G31" s="196">
        <f t="shared" si="0"/>
        <v>-9396.879999999997</v>
      </c>
      <c r="H31" s="197">
        <f t="shared" si="3"/>
        <v>81.54398507316115</v>
      </c>
      <c r="I31" s="198">
        <f t="shared" si="4"/>
        <v>-83940.88</v>
      </c>
      <c r="J31" s="198">
        <f t="shared" si="5"/>
        <v>33.092978582644534</v>
      </c>
      <c r="K31" s="198">
        <v>43131.35</v>
      </c>
      <c r="L31" s="198">
        <f t="shared" si="1"/>
        <v>-1613.229999999996</v>
      </c>
      <c r="M31" s="226">
        <f t="shared" si="2"/>
        <v>0.962597275531603</v>
      </c>
      <c r="N31" s="234">
        <f>E31-квітень!E31</f>
        <v>10455</v>
      </c>
      <c r="O31" s="234">
        <f>F31-квітень!F31</f>
        <v>2996.4900000000052</v>
      </c>
      <c r="P31" s="198">
        <f t="shared" si="6"/>
        <v>-7458.509999999995</v>
      </c>
      <c r="Q31" s="198">
        <f>O31/N31*100</f>
        <v>28.660832137733195</v>
      </c>
      <c r="R31" s="106"/>
      <c r="S31" s="99">
        <f t="shared" si="8"/>
        <v>2996.4900000000052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71.83</v>
      </c>
      <c r="G33" s="148">
        <f t="shared" si="0"/>
        <v>32.83</v>
      </c>
      <c r="H33" s="155">
        <f t="shared" si="3"/>
        <v>184.17948717948718</v>
      </c>
      <c r="I33" s="156">
        <f t="shared" si="4"/>
        <v>-43.17</v>
      </c>
      <c r="J33" s="156">
        <f t="shared" si="5"/>
        <v>62.46086956521739</v>
      </c>
      <c r="K33" s="156">
        <v>51.14</v>
      </c>
      <c r="L33" s="156">
        <f t="shared" si="1"/>
        <v>20.689999999999998</v>
      </c>
      <c r="M33" s="208">
        <f>F33/K33</f>
        <v>1.4045756746186937</v>
      </c>
      <c r="N33" s="155">
        <f>E33-квітень!E33</f>
        <v>12</v>
      </c>
      <c r="O33" s="158">
        <f>F33-квітень!F33</f>
        <v>19.42</v>
      </c>
      <c r="P33" s="159">
        <f t="shared" si="6"/>
        <v>7.420000000000002</v>
      </c>
      <c r="Q33" s="156">
        <f>O33/N33*100</f>
        <v>161.83333333333334</v>
      </c>
      <c r="R33" s="106">
        <v>7</v>
      </c>
      <c r="S33" s="99">
        <f t="shared" si="8"/>
        <v>12.420000000000002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95366.25</v>
      </c>
      <c r="G35" s="160">
        <f t="shared" si="0"/>
        <v>1060.550000000003</v>
      </c>
      <c r="H35" s="162">
        <f t="shared" si="3"/>
        <v>101.12458737912979</v>
      </c>
      <c r="I35" s="163">
        <f t="shared" si="4"/>
        <v>-99027.85</v>
      </c>
      <c r="J35" s="163">
        <f t="shared" si="5"/>
        <v>49.05820186929542</v>
      </c>
      <c r="K35" s="176">
        <v>68766.7</v>
      </c>
      <c r="L35" s="176">
        <f>F35-K35</f>
        <v>26599.550000000003</v>
      </c>
      <c r="M35" s="224">
        <f>F35/K35</f>
        <v>1.3868085861325323</v>
      </c>
      <c r="N35" s="155">
        <f>E35-квітень!E35</f>
        <v>22700</v>
      </c>
      <c r="O35" s="158">
        <f>F35-квітень!F35</f>
        <v>21759.210000000006</v>
      </c>
      <c r="P35" s="165">
        <f t="shared" si="6"/>
        <v>-940.7899999999936</v>
      </c>
      <c r="Q35" s="163">
        <f>O35/N35*100</f>
        <v>95.85555066079297</v>
      </c>
      <c r="R35" s="106">
        <v>22700</v>
      </c>
      <c r="S35" s="99">
        <f t="shared" si="8"/>
        <v>-940.7899999999936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18880.26</v>
      </c>
      <c r="G37" s="102">
        <f t="shared" si="0"/>
        <v>-39.7400000000016</v>
      </c>
      <c r="H37" s="104">
        <f t="shared" si="3"/>
        <v>99.78995771670189</v>
      </c>
      <c r="I37" s="103">
        <f t="shared" si="4"/>
        <v>-22119.74</v>
      </c>
      <c r="J37" s="103">
        <f t="shared" si="5"/>
        <v>46.04941463414634</v>
      </c>
      <c r="K37" s="126">
        <v>17552.06</v>
      </c>
      <c r="L37" s="126">
        <f t="shared" si="1"/>
        <v>1328.199999999997</v>
      </c>
      <c r="M37" s="214">
        <f t="shared" si="9"/>
        <v>1.075672029380027</v>
      </c>
      <c r="N37" s="104">
        <f>E37-квітень!E37</f>
        <v>5700</v>
      </c>
      <c r="O37" s="142">
        <f>F37-квітень!F37</f>
        <v>4881.839999999998</v>
      </c>
      <c r="P37" s="105">
        <f t="shared" si="6"/>
        <v>-818.1600000000017</v>
      </c>
      <c r="Q37" s="103">
        <f>O37/N37*100</f>
        <v>85.64631578947366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76462.9</v>
      </c>
      <c r="G38" s="102">
        <f t="shared" si="0"/>
        <v>1102.8999999999942</v>
      </c>
      <c r="H38" s="104">
        <f t="shared" si="3"/>
        <v>101.463508492569</v>
      </c>
      <c r="I38" s="103">
        <f t="shared" si="4"/>
        <v>-76876.20000000001</v>
      </c>
      <c r="J38" s="103">
        <f t="shared" si="5"/>
        <v>49.865233329268264</v>
      </c>
      <c r="K38" s="126">
        <v>51200.46</v>
      </c>
      <c r="L38" s="126">
        <f t="shared" si="1"/>
        <v>25262.439999999995</v>
      </c>
      <c r="M38" s="214">
        <f t="shared" si="9"/>
        <v>1.4934025983360304</v>
      </c>
      <c r="N38" s="104">
        <f>E38-квітень!E38</f>
        <v>17000</v>
      </c>
      <c r="O38" s="142">
        <f>F38-квітень!F38</f>
        <v>16877.379999999997</v>
      </c>
      <c r="P38" s="105">
        <f t="shared" si="6"/>
        <v>-122.62000000000262</v>
      </c>
      <c r="Q38" s="103">
        <f>O38/N38*100</f>
        <v>99.27870588235292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</f>
        <v>26602.760000000002</v>
      </c>
      <c r="G41" s="149">
        <f>G42+G43+G44+G45+G46+G48+G50+G51+G52+G53+G54+G59+G60+G64</f>
        <v>1845.2499999999998</v>
      </c>
      <c r="H41" s="150">
        <f>F41/E41*100</f>
        <v>107.28087332088576</v>
      </c>
      <c r="I41" s="151">
        <f>F41-D41</f>
        <v>-32422.239999999998</v>
      </c>
      <c r="J41" s="151">
        <f>F41/D41*100</f>
        <v>45.070326132994495</v>
      </c>
      <c r="K41" s="149">
        <v>22840.42</v>
      </c>
      <c r="L41" s="149">
        <f t="shared" si="1"/>
        <v>3762.340000000004</v>
      </c>
      <c r="M41" s="203">
        <f t="shared" si="9"/>
        <v>1.1647228903846778</v>
      </c>
      <c r="N41" s="149">
        <f>N42+N43+N44+N45+N46+N48+N50+N51+N52+N53+N54+N59+N60+N64+N47</f>
        <v>5362.8</v>
      </c>
      <c r="O41" s="149">
        <f>O42+O43+O44+O45+O46+O48+O50+O51+O52+O53+O54+O59+O60+O64+O47</f>
        <v>7164.863999999997</v>
      </c>
      <c r="P41" s="149">
        <f>P42+P43+P44+P45+P46+P48+P50+P51+P52+P53+P54+P59+P60+P64</f>
        <v>1808.863999999999</v>
      </c>
      <c r="Q41" s="149">
        <f>O41/N41*100</f>
        <v>133.6030431863951</v>
      </c>
      <c r="R41" s="15">
        <f>R42+R43+R44+R45+R46+R47+R48+R50+R51+R52+R53+R54+R59+R60+R64</f>
        <v>5273.700000000001</v>
      </c>
      <c r="S41" s="15">
        <f>O41-R41</f>
        <v>1891.1639999999961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428.05</v>
      </c>
      <c r="G46" s="160">
        <f t="shared" si="12"/>
        <v>322.05</v>
      </c>
      <c r="H46" s="162">
        <f t="shared" si="10"/>
        <v>403.8207547169811</v>
      </c>
      <c r="I46" s="163">
        <f t="shared" si="13"/>
        <v>168.05</v>
      </c>
      <c r="J46" s="163">
        <f t="shared" si="16"/>
        <v>164.6346153846154</v>
      </c>
      <c r="K46" s="163">
        <v>50.4</v>
      </c>
      <c r="L46" s="163">
        <f t="shared" si="1"/>
        <v>377.65000000000003</v>
      </c>
      <c r="M46" s="216">
        <f t="shared" si="17"/>
        <v>8.493055555555555</v>
      </c>
      <c r="N46" s="162">
        <f>E46-квітень!E46</f>
        <v>22</v>
      </c>
      <c r="O46" s="166">
        <f>F46-квітень!F46</f>
        <v>33.56700000000001</v>
      </c>
      <c r="P46" s="165">
        <f t="shared" si="14"/>
        <v>11.567000000000007</v>
      </c>
      <c r="Q46" s="163">
        <f t="shared" si="11"/>
        <v>152.57727272727274</v>
      </c>
      <c r="R46" s="36">
        <v>22</v>
      </c>
      <c r="S46" s="36">
        <f t="shared" si="15"/>
        <v>11.567000000000007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464.2</v>
      </c>
      <c r="G48" s="160">
        <f t="shared" si="12"/>
        <v>64.19999999999999</v>
      </c>
      <c r="H48" s="162">
        <f t="shared" si="10"/>
        <v>116.04999999999998</v>
      </c>
      <c r="I48" s="163">
        <f t="shared" si="13"/>
        <v>-265.8</v>
      </c>
      <c r="J48" s="163">
        <f t="shared" si="16"/>
        <v>63.58904109589041</v>
      </c>
      <c r="K48" s="163">
        <v>76.33</v>
      </c>
      <c r="L48" s="163">
        <f t="shared" si="1"/>
        <v>387.87</v>
      </c>
      <c r="M48" s="216"/>
      <c r="N48" s="162">
        <f>E48-квітень!E48</f>
        <v>60</v>
      </c>
      <c r="O48" s="166">
        <f>F48-квітень!F48</f>
        <v>70.72999999999996</v>
      </c>
      <c r="P48" s="165">
        <f t="shared" si="14"/>
        <v>10.729999999999961</v>
      </c>
      <c r="Q48" s="163">
        <f t="shared" si="11"/>
        <v>117.88333333333327</v>
      </c>
      <c r="R48" s="36">
        <v>60</v>
      </c>
      <c r="S48" s="36">
        <f t="shared" si="15"/>
        <v>10.729999999999961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5662.82</v>
      </c>
      <c r="G50" s="160">
        <f t="shared" si="12"/>
        <v>522.8199999999997</v>
      </c>
      <c r="H50" s="162">
        <f t="shared" si="10"/>
        <v>110.17159533073931</v>
      </c>
      <c r="I50" s="163">
        <f t="shared" si="13"/>
        <v>-5337.18</v>
      </c>
      <c r="J50" s="163">
        <f t="shared" si="16"/>
        <v>51.48018181818181</v>
      </c>
      <c r="K50" s="163">
        <v>4057.41</v>
      </c>
      <c r="L50" s="163">
        <f t="shared" si="1"/>
        <v>1605.4099999999999</v>
      </c>
      <c r="M50" s="216">
        <f t="shared" si="17"/>
        <v>1.3956735947316146</v>
      </c>
      <c r="N50" s="162">
        <f>E50-квітень!E50</f>
        <v>900</v>
      </c>
      <c r="O50" s="166">
        <f>F50-квітень!F50</f>
        <v>981.3099999999995</v>
      </c>
      <c r="P50" s="165">
        <f t="shared" si="14"/>
        <v>81.30999999999949</v>
      </c>
      <c r="Q50" s="163">
        <f t="shared" si="11"/>
        <v>109.03444444444439</v>
      </c>
      <c r="R50" s="36">
        <v>1000</v>
      </c>
      <c r="S50" s="36">
        <f t="shared" si="15"/>
        <v>-18.69000000000051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203.99</v>
      </c>
      <c r="G51" s="160">
        <f t="shared" si="12"/>
        <v>78.99000000000001</v>
      </c>
      <c r="H51" s="162">
        <f t="shared" si="10"/>
        <v>163.192</v>
      </c>
      <c r="I51" s="163">
        <f t="shared" si="13"/>
        <v>-106.00999999999999</v>
      </c>
      <c r="J51" s="163">
        <f t="shared" si="16"/>
        <v>65.80322580645162</v>
      </c>
      <c r="K51" s="163">
        <v>33.93</v>
      </c>
      <c r="L51" s="163">
        <f t="shared" si="1"/>
        <v>170.06</v>
      </c>
      <c r="M51" s="216"/>
      <c r="N51" s="162">
        <f>E51-квітень!E51</f>
        <v>25</v>
      </c>
      <c r="O51" s="166">
        <f>F51-квітень!F51</f>
        <v>28.620000000000005</v>
      </c>
      <c r="P51" s="165">
        <f t="shared" si="14"/>
        <v>3.6200000000000045</v>
      </c>
      <c r="Q51" s="163">
        <f t="shared" si="11"/>
        <v>114.48000000000003</v>
      </c>
      <c r="R51" s="36">
        <v>25</v>
      </c>
      <c r="S51" s="36">
        <f t="shared" si="15"/>
        <v>3.6200000000000045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316.64</v>
      </c>
      <c r="G54" s="160">
        <f t="shared" si="12"/>
        <v>-158.36</v>
      </c>
      <c r="H54" s="162">
        <f t="shared" si="10"/>
        <v>66.66105263157894</v>
      </c>
      <c r="I54" s="163">
        <f t="shared" si="13"/>
        <v>-883.36</v>
      </c>
      <c r="J54" s="163">
        <f t="shared" si="16"/>
        <v>26.386666666666663</v>
      </c>
      <c r="K54" s="163">
        <v>2573.46</v>
      </c>
      <c r="L54" s="163">
        <f t="shared" si="1"/>
        <v>-2256.82</v>
      </c>
      <c r="M54" s="216">
        <f t="shared" si="17"/>
        <v>0.12304057572295664</v>
      </c>
      <c r="N54" s="162">
        <f>E54-квітень!E54</f>
        <v>145</v>
      </c>
      <c r="O54" s="166">
        <f>F54-квітень!F54</f>
        <v>27.377999999999986</v>
      </c>
      <c r="P54" s="165">
        <f t="shared" si="14"/>
        <v>-117.62200000000001</v>
      </c>
      <c r="Q54" s="163">
        <f t="shared" si="11"/>
        <v>18.88137931034482</v>
      </c>
      <c r="R54" s="36">
        <v>70</v>
      </c>
      <c r="S54" s="36">
        <f t="shared" si="15"/>
        <v>-42.622000000000014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276.68</v>
      </c>
      <c r="G55" s="33">
        <f t="shared" si="12"/>
        <v>-123.32</v>
      </c>
      <c r="H55" s="29">
        <f t="shared" si="10"/>
        <v>69.17</v>
      </c>
      <c r="I55" s="103">
        <f t="shared" si="13"/>
        <v>-721.3199999999999</v>
      </c>
      <c r="J55" s="103">
        <f t="shared" si="16"/>
        <v>27.723446893787575</v>
      </c>
      <c r="K55" s="103">
        <v>367.55</v>
      </c>
      <c r="L55" s="103">
        <f>F55-K55</f>
        <v>-90.87</v>
      </c>
      <c r="M55" s="108">
        <f t="shared" si="17"/>
        <v>0.7527683308393416</v>
      </c>
      <c r="N55" s="104">
        <f>E55-квітень!E55</f>
        <v>130</v>
      </c>
      <c r="O55" s="142">
        <f>F55-квітень!F55</f>
        <v>21.30000000000001</v>
      </c>
      <c r="P55" s="105">
        <f t="shared" si="14"/>
        <v>-108.69999999999999</v>
      </c>
      <c r="Q55" s="118">
        <f t="shared" si="11"/>
        <v>16.384615384615394</v>
      </c>
      <c r="R55" s="36"/>
      <c r="S55" s="36">
        <f t="shared" si="15"/>
        <v>21.30000000000001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39.84</v>
      </c>
      <c r="G58" s="33">
        <f t="shared" si="12"/>
        <v>-35.16</v>
      </c>
      <c r="H58" s="29">
        <f t="shared" si="10"/>
        <v>53.12</v>
      </c>
      <c r="I58" s="103">
        <f t="shared" si="13"/>
        <v>-160.16</v>
      </c>
      <c r="J58" s="103">
        <f t="shared" si="16"/>
        <v>19.92</v>
      </c>
      <c r="K58" s="103">
        <v>2205.67</v>
      </c>
      <c r="L58" s="103">
        <f>F58-K58</f>
        <v>-2165.83</v>
      </c>
      <c r="M58" s="108">
        <f t="shared" si="17"/>
        <v>0.01806253882040378</v>
      </c>
      <c r="N58" s="104">
        <f>E58-квітень!E58</f>
        <v>15</v>
      </c>
      <c r="O58" s="142">
        <f>F58-квітень!F58</f>
        <v>6.07</v>
      </c>
      <c r="P58" s="105">
        <f t="shared" si="14"/>
        <v>-8.93</v>
      </c>
      <c r="Q58" s="118">
        <f t="shared" si="11"/>
        <v>40.46666666666667</v>
      </c>
      <c r="R58" s="36"/>
      <c r="S58" s="36">
        <f t="shared" si="15"/>
        <v>6.07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3956.97</v>
      </c>
      <c r="G60" s="160">
        <f t="shared" si="12"/>
        <v>-303.0300000000002</v>
      </c>
      <c r="H60" s="162">
        <f t="shared" si="10"/>
        <v>92.88661971830986</v>
      </c>
      <c r="I60" s="163">
        <f t="shared" si="13"/>
        <v>-3393.03</v>
      </c>
      <c r="J60" s="163">
        <f t="shared" si="16"/>
        <v>53.83632653061225</v>
      </c>
      <c r="K60" s="163">
        <v>2320.11</v>
      </c>
      <c r="L60" s="163">
        <f aca="true" t="shared" si="18" ref="L60:L66">F60-K60</f>
        <v>1636.8599999999997</v>
      </c>
      <c r="M60" s="216">
        <f t="shared" si="17"/>
        <v>1.7055096525595768</v>
      </c>
      <c r="N60" s="162">
        <f>E60-квітень!E60</f>
        <v>600</v>
      </c>
      <c r="O60" s="166">
        <f>F60-квітень!F60</f>
        <v>420.7579999999998</v>
      </c>
      <c r="P60" s="165">
        <f t="shared" si="14"/>
        <v>-179.2420000000002</v>
      </c>
      <c r="Q60" s="163">
        <f t="shared" si="11"/>
        <v>70.1263333333333</v>
      </c>
      <c r="R60" s="36">
        <v>450</v>
      </c>
      <c r="S60" s="36">
        <f t="shared" si="15"/>
        <v>-29.24200000000019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843.83</v>
      </c>
      <c r="G62" s="160"/>
      <c r="H62" s="162"/>
      <c r="I62" s="163"/>
      <c r="J62" s="163"/>
      <c r="K62" s="164">
        <v>478.67</v>
      </c>
      <c r="L62" s="163">
        <f t="shared" si="18"/>
        <v>365.16</v>
      </c>
      <c r="M62" s="216">
        <f t="shared" si="17"/>
        <v>1.7628637683581592</v>
      </c>
      <c r="N62" s="193"/>
      <c r="O62" s="177">
        <f>F62-квітень!F62</f>
        <v>204.14</v>
      </c>
      <c r="P62" s="164"/>
      <c r="Q62" s="163"/>
      <c r="R62" s="36"/>
      <c r="S62" s="36">
        <f t="shared" si="15"/>
        <v>204.14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16.85</v>
      </c>
      <c r="G65" s="160">
        <f t="shared" si="12"/>
        <v>10.450000000000001</v>
      </c>
      <c r="H65" s="162">
        <f t="shared" si="10"/>
        <v>263.28125</v>
      </c>
      <c r="I65" s="163">
        <f t="shared" si="13"/>
        <v>1.8500000000000014</v>
      </c>
      <c r="J65" s="163">
        <f t="shared" si="16"/>
        <v>112.33333333333336</v>
      </c>
      <c r="K65" s="163">
        <v>13.52</v>
      </c>
      <c r="L65" s="163">
        <f t="shared" si="18"/>
        <v>3.330000000000002</v>
      </c>
      <c r="M65" s="216">
        <f t="shared" si="17"/>
        <v>1.246301775147929</v>
      </c>
      <c r="N65" s="162">
        <f>E65-квітень!E65</f>
        <v>1.3000000000000007</v>
      </c>
      <c r="O65" s="166">
        <f>F65-квітень!F65</f>
        <v>-0.0019999999999988916</v>
      </c>
      <c r="P65" s="165">
        <f t="shared" si="14"/>
        <v>-1.3019999999999996</v>
      </c>
      <c r="Q65" s="163">
        <f t="shared" si="11"/>
        <v>-0.1538461538460685</v>
      </c>
      <c r="R65" s="36">
        <v>1.3</v>
      </c>
      <c r="S65" s="36">
        <f t="shared" si="15"/>
        <v>-1.301999999999999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494299.69</v>
      </c>
      <c r="G67" s="149">
        <f>F67-E67</f>
        <v>-35207.610000000044</v>
      </c>
      <c r="H67" s="150">
        <f>F67/E67*100</f>
        <v>93.35087353847624</v>
      </c>
      <c r="I67" s="151">
        <f>F67-D67</f>
        <v>-863191.4100000001</v>
      </c>
      <c r="J67" s="151">
        <f>F67/D67*100</f>
        <v>36.41273891224775</v>
      </c>
      <c r="K67" s="151">
        <v>397849.29</v>
      </c>
      <c r="L67" s="151">
        <f>F67-K67</f>
        <v>96450.40000000002</v>
      </c>
      <c r="M67" s="217">
        <f>F67/K67</f>
        <v>1.2424294888147218</v>
      </c>
      <c r="N67" s="149">
        <f>N8+N41+N65+N66</f>
        <v>112090.19999999998</v>
      </c>
      <c r="O67" s="149">
        <f>O8+O41+O65+O66</f>
        <v>74537.93600000005</v>
      </c>
      <c r="P67" s="153">
        <f>O67-N67</f>
        <v>-37552.26399999994</v>
      </c>
      <c r="Q67" s="151">
        <f>O67/N67*100</f>
        <v>66.49817379217814</v>
      </c>
      <c r="R67" s="26">
        <f>R8+R41+R65+R66</f>
        <v>109914</v>
      </c>
      <c r="S67" s="277">
        <f>O67-R67</f>
        <v>-35376.063999999955</v>
      </c>
      <c r="T67" s="277"/>
      <c r="U67" s="114">
        <f>O67/34768</f>
        <v>2.1438660837551784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4102.3</v>
      </c>
      <c r="G78" s="160">
        <f t="shared" si="19"/>
        <v>-8247.7</v>
      </c>
      <c r="H78" s="162">
        <f>F78/E78*100</f>
        <v>33.217004048583</v>
      </c>
      <c r="I78" s="165">
        <f t="shared" si="20"/>
        <v>-74897.7</v>
      </c>
      <c r="J78" s="165">
        <f>F78/D78*100</f>
        <v>5.192784810126582</v>
      </c>
      <c r="K78" s="165">
        <v>9113.39</v>
      </c>
      <c r="L78" s="165">
        <f t="shared" si="21"/>
        <v>-5011.089999999999</v>
      </c>
      <c r="M78" s="207">
        <f>F78/K78</f>
        <v>0.450139849166995</v>
      </c>
      <c r="N78" s="162">
        <f>E78-квітень!E78</f>
        <v>3850</v>
      </c>
      <c r="O78" s="166">
        <f>F78-квітень!F78</f>
        <v>2280.8500000000004</v>
      </c>
      <c r="P78" s="165">
        <f t="shared" si="22"/>
        <v>-1569.1499999999996</v>
      </c>
      <c r="Q78" s="165">
        <f>O78/N78*100</f>
        <v>59.242857142857154</v>
      </c>
      <c r="R78" s="37">
        <v>1500</v>
      </c>
      <c r="S78" s="37">
        <f t="shared" si="23"/>
        <v>780.8500000000004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4413.33</v>
      </c>
      <c r="G80" s="183">
        <f t="shared" si="19"/>
        <v>-24471.67</v>
      </c>
      <c r="H80" s="184">
        <f>F80/E80*100</f>
        <v>15.27896832265882</v>
      </c>
      <c r="I80" s="185">
        <f t="shared" si="20"/>
        <v>-232804.7</v>
      </c>
      <c r="J80" s="185">
        <f>F80/D80*100</f>
        <v>1.8604530186849624</v>
      </c>
      <c r="K80" s="185">
        <v>11029.59</v>
      </c>
      <c r="L80" s="185">
        <f t="shared" si="21"/>
        <v>-6616.26</v>
      </c>
      <c r="M80" s="212">
        <f>F80/K80</f>
        <v>0.4001354538110664</v>
      </c>
      <c r="N80" s="183">
        <f>N76+N77+N78+N79</f>
        <v>11951</v>
      </c>
      <c r="O80" s="187">
        <f>O76+O77+O78+O79</f>
        <v>2283.84</v>
      </c>
      <c r="P80" s="185">
        <f t="shared" si="22"/>
        <v>-9667.16</v>
      </c>
      <c r="Q80" s="185">
        <f>O80/N80*100</f>
        <v>19.110032633252448</v>
      </c>
      <c r="R80" s="38">
        <f>SUM(R76:R79)</f>
        <v>1701</v>
      </c>
      <c r="S80" s="38">
        <f t="shared" si="23"/>
        <v>582.8400000000001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9.42</v>
      </c>
      <c r="G81" s="160">
        <f t="shared" si="19"/>
        <v>5.92</v>
      </c>
      <c r="H81" s="162"/>
      <c r="I81" s="165">
        <f t="shared" si="20"/>
        <v>-30.58</v>
      </c>
      <c r="J81" s="165"/>
      <c r="K81" s="165">
        <v>4.4</v>
      </c>
      <c r="L81" s="165">
        <f t="shared" si="21"/>
        <v>5.02</v>
      </c>
      <c r="M81" s="207">
        <f>F81/K81</f>
        <v>2.1409090909090907</v>
      </c>
      <c r="N81" s="162">
        <f>E81-квітень!E81</f>
        <v>1</v>
      </c>
      <c r="O81" s="166">
        <f>F81-квітень!F81</f>
        <v>0.16999999999999993</v>
      </c>
      <c r="P81" s="165">
        <f t="shared" si="22"/>
        <v>-0.8300000000000001</v>
      </c>
      <c r="Q81" s="165"/>
      <c r="R81" s="37">
        <v>1</v>
      </c>
      <c r="S81" s="37">
        <f t="shared" si="23"/>
        <v>-0.8300000000000001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5103.16</v>
      </c>
      <c r="G83" s="160">
        <f t="shared" si="19"/>
        <v>596.6599999999999</v>
      </c>
      <c r="H83" s="162">
        <f>F83/E83*100</f>
        <v>113.23998668589815</v>
      </c>
      <c r="I83" s="165">
        <f t="shared" si="20"/>
        <v>-3256.84</v>
      </c>
      <c r="J83" s="165">
        <f>F83/D83*100</f>
        <v>61.04258373205741</v>
      </c>
      <c r="K83" s="165">
        <v>4887.77</v>
      </c>
      <c r="L83" s="165">
        <f t="shared" si="21"/>
        <v>215.38999999999942</v>
      </c>
      <c r="M83" s="207"/>
      <c r="N83" s="162">
        <f>E83-квітень!E83</f>
        <v>2141.3</v>
      </c>
      <c r="O83" s="166">
        <f>F83-квітень!F83</f>
        <v>2871.62</v>
      </c>
      <c r="P83" s="165">
        <f>O83-N83</f>
        <v>730.3199999999997</v>
      </c>
      <c r="Q83" s="188">
        <f>O83/N83*100</f>
        <v>134.10638397235323</v>
      </c>
      <c r="R83" s="40">
        <v>2850</v>
      </c>
      <c r="S83" s="285">
        <f t="shared" si="23"/>
        <v>21.61999999999989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5112.63</v>
      </c>
      <c r="G85" s="181">
        <f>G81+G84+G82+G83</f>
        <v>602.6299999999999</v>
      </c>
      <c r="H85" s="184">
        <f>F85/E85*100</f>
        <v>113.36208425720622</v>
      </c>
      <c r="I85" s="185">
        <f t="shared" si="20"/>
        <v>-3287.37</v>
      </c>
      <c r="J85" s="185">
        <f>F85/D85*100</f>
        <v>60.86464285714286</v>
      </c>
      <c r="K85" s="185">
        <v>4892.86</v>
      </c>
      <c r="L85" s="185">
        <f t="shared" si="21"/>
        <v>219.77000000000044</v>
      </c>
      <c r="M85" s="218">
        <f t="shared" si="24"/>
        <v>1.0449164701217695</v>
      </c>
      <c r="N85" s="183">
        <f>N81+N84+N82+N83</f>
        <v>2142.3</v>
      </c>
      <c r="O85" s="187">
        <f>O81+O84+O82+O83</f>
        <v>2871.81</v>
      </c>
      <c r="P85" s="183">
        <f>P81+P84+P82+P83</f>
        <v>729.5099999999998</v>
      </c>
      <c r="Q85" s="185">
        <f>O85/N85*100</f>
        <v>134.05265368995939</v>
      </c>
      <c r="R85" s="38">
        <f>SUM(R81:R84)</f>
        <v>2851</v>
      </c>
      <c r="S85" s="38">
        <f t="shared" si="23"/>
        <v>20.809999999999945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9566.5</v>
      </c>
      <c r="G88" s="190">
        <f>F88-E88</f>
        <v>-23843.800000000003</v>
      </c>
      <c r="H88" s="191">
        <f>F88/E88*100</f>
        <v>28.633385512850822</v>
      </c>
      <c r="I88" s="192">
        <f>F88-D88</f>
        <v>-236089.53</v>
      </c>
      <c r="J88" s="192">
        <f>F88/D88*100</f>
        <v>3.894266303986106</v>
      </c>
      <c r="K88" s="192">
        <v>15931.38</v>
      </c>
      <c r="L88" s="192">
        <f>F88-K88</f>
        <v>-6364.879999999999</v>
      </c>
      <c r="M88" s="219">
        <f t="shared" si="24"/>
        <v>0.6004815653132372</v>
      </c>
      <c r="N88" s="189">
        <f>N74+N75+N80+N85+N86</f>
        <v>14094.5</v>
      </c>
      <c r="O88" s="189">
        <f>O74+O75+O80+O85+O86</f>
        <v>5153.01</v>
      </c>
      <c r="P88" s="192">
        <f t="shared" si="22"/>
        <v>-8941.49</v>
      </c>
      <c r="Q88" s="192">
        <f>O88/N88*100</f>
        <v>36.56043137394019</v>
      </c>
      <c r="R88" s="26">
        <f>R80+R85+R86+R87</f>
        <v>4553.2</v>
      </c>
      <c r="S88" s="26">
        <f>S80+S85+S86+S87</f>
        <v>602.45</v>
      </c>
      <c r="T88" s="26"/>
      <c r="U88" s="94">
        <f>O88/8104.96</f>
        <v>0.6357847540271636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503866.19</v>
      </c>
      <c r="G89" s="190">
        <f>F89-E89</f>
        <v>-59051.41000000009</v>
      </c>
      <c r="H89" s="191">
        <f>F89/E89*100</f>
        <v>89.50975951009525</v>
      </c>
      <c r="I89" s="192">
        <f>F89-D89</f>
        <v>-1099280.9400000002</v>
      </c>
      <c r="J89" s="192">
        <f>F89/D89*100</f>
        <v>31.429815802371174</v>
      </c>
      <c r="K89" s="192">
        <f>K67+K88</f>
        <v>413780.67</v>
      </c>
      <c r="L89" s="192">
        <f>F89-K89</f>
        <v>90085.52000000002</v>
      </c>
      <c r="M89" s="219">
        <f t="shared" si="24"/>
        <v>1.2177132150711631</v>
      </c>
      <c r="N89" s="190">
        <f>N67+N88</f>
        <v>126184.69999999998</v>
      </c>
      <c r="O89" s="190">
        <f>O67+O88</f>
        <v>79690.94600000004</v>
      </c>
      <c r="P89" s="192">
        <f t="shared" si="22"/>
        <v>-46493.75399999994</v>
      </c>
      <c r="Q89" s="192">
        <f>O89/N89*100</f>
        <v>63.15420649254628</v>
      </c>
      <c r="R89" s="26">
        <f>R67+R88</f>
        <v>114467.2</v>
      </c>
      <c r="S89" s="26">
        <f>S67+S88</f>
        <v>-34773.61399999996</v>
      </c>
      <c r="T89" s="26"/>
      <c r="U89" s="94">
        <f>O89/42872.96</f>
        <v>1.8587693968412735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7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5364.6091428571335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42877</v>
      </c>
      <c r="D93" s="28">
        <v>4502.9</v>
      </c>
      <c r="G93" s="4" t="s">
        <v>58</v>
      </c>
      <c r="O93" s="295"/>
      <c r="P93" s="295"/>
    </row>
    <row r="94" spans="3:16" ht="15">
      <c r="C94" s="80">
        <v>42874</v>
      </c>
      <c r="D94" s="28">
        <v>10273.1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42873</v>
      </c>
      <c r="D95" s="28">
        <v>4767.8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0.00026000000000000003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680.5100000000001</v>
      </c>
      <c r="G100" s="67">
        <f>G48+G51+G52</f>
        <v>148.51</v>
      </c>
      <c r="H100" s="68"/>
      <c r="I100" s="68"/>
      <c r="N100" s="28">
        <f>N48+N51+N52</f>
        <v>88</v>
      </c>
      <c r="O100" s="200">
        <f>O48+O51+O52</f>
        <v>100.30999999999997</v>
      </c>
      <c r="P100" s="28">
        <f>P48+P51+P52</f>
        <v>12.309999999999967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469910.53</v>
      </c>
      <c r="G102" s="28">
        <f>F102-E102</f>
        <v>-35061.96999999997</v>
      </c>
      <c r="H102" s="228">
        <f>F102/E102</f>
        <v>0.9305665754075717</v>
      </c>
      <c r="I102" s="28">
        <f>F102-D102</f>
        <v>-829138.0700000001</v>
      </c>
      <c r="J102" s="228">
        <f>F102/D102</f>
        <v>0.3617343723706719</v>
      </c>
      <c r="N102" s="28">
        <f>N9+N15+N17+N18+N19+N23+N42+N45+N65+N59</f>
        <v>106907.39999999998</v>
      </c>
      <c r="O102" s="227">
        <f>O9+O15+O17+O18+O19+O23+O42+O45+O65+O59</f>
        <v>69758.70200000003</v>
      </c>
      <c r="P102" s="28">
        <f>O102-N102</f>
        <v>-37148.697999999946</v>
      </c>
      <c r="Q102" s="228">
        <f>O102/N102</f>
        <v>0.6525151860395075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24388.67</v>
      </c>
      <c r="G103" s="28">
        <f>G43+G44+G46+G48+G50+G51+G52+G53+G54+G60+G64+G47</f>
        <v>-140.88000000000048</v>
      </c>
      <c r="H103" s="228">
        <f>F103/E103</f>
        <v>0.9940439701974338</v>
      </c>
      <c r="I103" s="28">
        <f>I43+I44+I46+I48+I50+I51+I52+I53+I54+I60+I64+I47</f>
        <v>-34048.58</v>
      </c>
      <c r="J103" s="228">
        <f>F103/D103</f>
        <v>0.41731051888608456</v>
      </c>
      <c r="K103" s="28">
        <f aca="true" t="shared" si="25" ref="K103:P103">K43+K44+K46+K48+K50+K51+K52+K53+K54+K60+K64+K47</f>
        <v>22597.689999999995</v>
      </c>
      <c r="L103" s="28">
        <f t="shared" si="25"/>
        <v>1796.2299999999998</v>
      </c>
      <c r="M103" s="28">
        <f t="shared" si="25"/>
        <v>17.245242098324166</v>
      </c>
      <c r="N103" s="28">
        <f>N43+N44+N46+N48+N50+N51+N52+N53+N54+N60+N64+N47+N66</f>
        <v>5182.8</v>
      </c>
      <c r="O103" s="227">
        <f>O43+O44+O46+O48+O50+O51+O52+O53+O54+O60+O64+O47+O66</f>
        <v>4779.233999999998</v>
      </c>
      <c r="P103" s="28">
        <f t="shared" si="25"/>
        <v>-403.5660000000013</v>
      </c>
      <c r="Q103" s="228">
        <f>O103/N103</f>
        <v>0.9221335957397541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494299.2</v>
      </c>
      <c r="G104" s="28">
        <f t="shared" si="26"/>
        <v>-35202.84999999997</v>
      </c>
      <c r="H104" s="228">
        <f>F104/E104</f>
        <v>0.9335078099961983</v>
      </c>
      <c r="I104" s="28">
        <f t="shared" si="26"/>
        <v>-863186.65</v>
      </c>
      <c r="J104" s="228">
        <f>F104/D104</f>
        <v>0.3641270281624682</v>
      </c>
      <c r="K104" s="28">
        <f t="shared" si="26"/>
        <v>22597.689999999995</v>
      </c>
      <c r="L104" s="28">
        <f t="shared" si="26"/>
        <v>1796.2299999999998</v>
      </c>
      <c r="M104" s="28">
        <f t="shared" si="26"/>
        <v>17.245242098324166</v>
      </c>
      <c r="N104" s="28">
        <f t="shared" si="26"/>
        <v>112090.19999999998</v>
      </c>
      <c r="O104" s="227">
        <f t="shared" si="26"/>
        <v>74537.93600000003</v>
      </c>
      <c r="P104" s="28">
        <f t="shared" si="26"/>
        <v>-37552.263999999945</v>
      </c>
      <c r="Q104" s="228">
        <f>O104/N104</f>
        <v>0.6649817379217813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0.4899999999906868</v>
      </c>
      <c r="G105" s="28">
        <f t="shared" si="27"/>
        <v>-4.760000000074797</v>
      </c>
      <c r="H105" s="228"/>
      <c r="I105" s="28">
        <f t="shared" si="27"/>
        <v>-4.7600000001257285</v>
      </c>
      <c r="J105" s="228"/>
      <c r="K105" s="28">
        <f t="shared" si="27"/>
        <v>375251.6</v>
      </c>
      <c r="L105" s="28">
        <f t="shared" si="27"/>
        <v>94654.17000000003</v>
      </c>
      <c r="M105" s="28">
        <f t="shared" si="27"/>
        <v>-16.002812609509444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2.1438660837551784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29820.82</v>
      </c>
      <c r="G111" s="190">
        <f>F111-E111</f>
        <v>-21691.54</v>
      </c>
      <c r="H111" s="191">
        <f>F111/E111*100</f>
        <v>57.89061110770308</v>
      </c>
      <c r="I111" s="192">
        <f>F111-D111</f>
        <v>-288243.43</v>
      </c>
      <c r="J111" s="192">
        <f>F111/D111*100</f>
        <v>9.375722043580817</v>
      </c>
      <c r="K111" s="192">
        <v>3039.87</v>
      </c>
      <c r="L111" s="192">
        <f>F111-K111</f>
        <v>26780.95</v>
      </c>
      <c r="M111" s="266">
        <f>F111/K111</f>
        <v>9.809899765450497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524120.51</v>
      </c>
      <c r="G112" s="190">
        <f>F112-E112</f>
        <v>-56899.15000000002</v>
      </c>
      <c r="H112" s="191">
        <f>F112/E112*100</f>
        <v>90.20701812396503</v>
      </c>
      <c r="I112" s="192">
        <f>F112-D112</f>
        <v>-1151434.84</v>
      </c>
      <c r="J112" s="192">
        <f>F112/D112*100</f>
        <v>31.28040562790122</v>
      </c>
      <c r="K112" s="192">
        <f>K89+K111</f>
        <v>416820.54</v>
      </c>
      <c r="L112" s="192">
        <f>F112-K112</f>
        <v>107299.97000000003</v>
      </c>
      <c r="M112" s="266">
        <f>F112/K112</f>
        <v>1.2574248620281525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1069949.5899999999</v>
      </c>
      <c r="G124" s="275">
        <f t="shared" si="29"/>
        <v>-61725.67000000016</v>
      </c>
      <c r="H124" s="274">
        <f t="shared" si="31"/>
        <v>94.54563758864887</v>
      </c>
      <c r="I124" s="276">
        <f t="shared" si="30"/>
        <v>-1828474.4500000002</v>
      </c>
      <c r="J124" s="276">
        <f t="shared" si="32"/>
        <v>36.91487426387754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178</v>
      </c>
      <c r="O3" s="324" t="s">
        <v>177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174</v>
      </c>
      <c r="F4" s="307" t="s">
        <v>33</v>
      </c>
      <c r="G4" s="297" t="s">
        <v>175</v>
      </c>
      <c r="H4" s="309" t="s">
        <v>176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184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179</v>
      </c>
      <c r="L5" s="301"/>
      <c r="M5" s="302"/>
      <c r="N5" s="310"/>
      <c r="O5" s="312"/>
      <c r="P5" s="298"/>
      <c r="Q5" s="299"/>
      <c r="R5" s="303" t="s">
        <v>180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5"/>
      <c r="P93" s="295"/>
    </row>
    <row r="94" spans="3:16" ht="15">
      <c r="C94" s="80">
        <v>42852</v>
      </c>
      <c r="D94" s="28">
        <v>13266.8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42851</v>
      </c>
      <c r="D95" s="28">
        <v>6064.2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102.57358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  <c r="T1" s="243"/>
      <c r="U1" s="246"/>
      <c r="V1" s="256"/>
      <c r="W1" s="256"/>
    </row>
    <row r="2" spans="2:23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150</v>
      </c>
      <c r="O3" s="324" t="s">
        <v>151</v>
      </c>
      <c r="P3" s="324"/>
      <c r="Q3" s="324"/>
      <c r="R3" s="324"/>
      <c r="S3" s="324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5"/>
      <c r="B4" s="317"/>
      <c r="C4" s="318"/>
      <c r="D4" s="319"/>
      <c r="E4" s="325" t="s">
        <v>140</v>
      </c>
      <c r="F4" s="307" t="s">
        <v>33</v>
      </c>
      <c r="G4" s="297" t="s">
        <v>149</v>
      </c>
      <c r="H4" s="309" t="s">
        <v>163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173</v>
      </c>
      <c r="P4" s="297" t="s">
        <v>49</v>
      </c>
      <c r="Q4" s="29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156</v>
      </c>
      <c r="L5" s="301"/>
      <c r="M5" s="302"/>
      <c r="N5" s="310"/>
      <c r="O5" s="312"/>
      <c r="P5" s="298"/>
      <c r="Q5" s="299"/>
      <c r="R5" s="300" t="s">
        <v>102</v>
      </c>
      <c r="S5" s="30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5"/>
      <c r="P93" s="295"/>
    </row>
    <row r="94" spans="3:16" ht="15">
      <c r="C94" s="80">
        <v>42824</v>
      </c>
      <c r="D94" s="28">
        <v>11112.7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42823</v>
      </c>
      <c r="D95" s="28">
        <v>8830.3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1399.2856000000002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3" t="s">
        <v>138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131</v>
      </c>
      <c r="O3" s="324" t="s">
        <v>135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136</v>
      </c>
      <c r="F4" s="307" t="s">
        <v>33</v>
      </c>
      <c r="G4" s="297" t="s">
        <v>132</v>
      </c>
      <c r="H4" s="309" t="s">
        <v>133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139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134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5"/>
      <c r="P90" s="29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42790</v>
      </c>
      <c r="D92" s="28">
        <v>4206.9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v>7713.34596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3" t="s">
        <v>130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121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119</v>
      </c>
      <c r="O3" s="324" t="s">
        <v>115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122</v>
      </c>
      <c r="F4" s="307" t="s">
        <v>33</v>
      </c>
      <c r="G4" s="297" t="s">
        <v>123</v>
      </c>
      <c r="H4" s="309" t="s">
        <v>124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120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129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5"/>
      <c r="P90" s="29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42762</v>
      </c>
      <c r="D92" s="28">
        <v>8862.4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f>9505303.41/1000</f>
        <v>9505.30341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2017-05-22T12:32:04Z</cp:lastPrinted>
  <dcterms:created xsi:type="dcterms:W3CDTF">2003-07-28T11:27:56Z</dcterms:created>
  <dcterms:modified xsi:type="dcterms:W3CDTF">2017-05-23T08:22:12Z</dcterms:modified>
  <cp:category/>
  <cp:version/>
  <cp:contentType/>
  <cp:contentStatus/>
</cp:coreProperties>
</file>